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nheuserbuschinbev.sharepoint.com/sites/HOA/Shared Documents/General/"/>
    </mc:Choice>
  </mc:AlternateContent>
  <xr:revisionPtr revIDLastSave="588" documentId="14_{835661C0-B18A-48B1-8E8C-5FE84F396615}" xr6:coauthVersionLast="47" xr6:coauthVersionMax="47" xr10:uidLastSave="{1DFAAF28-5FC8-4CDC-B0C0-0CC459911953}"/>
  <bookViews>
    <workbookView xWindow="28680" yWindow="-120" windowWidth="29040" windowHeight="15720" activeTab="1" xr2:uid="{65D43A81-952B-4441-ADBF-2853411F2159}"/>
  </bookViews>
  <sheets>
    <sheet name="Monthly" sheetId="2" r:id="rId1"/>
    <sheet name="Yearly" sheetId="1" r:id="rId2"/>
    <sheet name="YO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M25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7" i="4"/>
  <c r="X17" i="2"/>
  <c r="Y5" i="2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K15" i="1"/>
  <c r="K12" i="1"/>
  <c r="L12" i="1"/>
  <c r="K14" i="1"/>
  <c r="I9" i="4"/>
  <c r="I10" i="4"/>
  <c r="I12" i="4"/>
  <c r="I13" i="4"/>
  <c r="I14" i="4"/>
  <c r="I15" i="4"/>
  <c r="I18" i="4"/>
  <c r="I19" i="4"/>
  <c r="I20" i="4"/>
  <c r="I21" i="4"/>
  <c r="I23" i="4"/>
  <c r="I24" i="4"/>
  <c r="I8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7" i="4"/>
  <c r="L25" i="4"/>
  <c r="G20" i="4"/>
  <c r="L20" i="4" s="1"/>
  <c r="G9" i="4"/>
  <c r="L9" i="4" s="1"/>
  <c r="G8" i="4"/>
  <c r="L7" i="4"/>
  <c r="L8" i="4"/>
  <c r="L10" i="4"/>
  <c r="L11" i="4"/>
  <c r="L12" i="4"/>
  <c r="L13" i="4"/>
  <c r="L14" i="4"/>
  <c r="L15" i="4"/>
  <c r="L16" i="4"/>
  <c r="L17" i="4"/>
  <c r="L18" i="4"/>
  <c r="L19" i="4"/>
  <c r="L21" i="4"/>
  <c r="L22" i="4"/>
  <c r="L23" i="4"/>
  <c r="L24" i="4"/>
  <c r="G24" i="4"/>
  <c r="J15" i="1"/>
  <c r="J14" i="1"/>
  <c r="I14" i="1"/>
  <c r="J12" i="1"/>
  <c r="K8" i="4"/>
  <c r="K11" i="4"/>
  <c r="K15" i="4"/>
  <c r="K16" i="4"/>
  <c r="K17" i="4"/>
  <c r="K20" i="4"/>
  <c r="K22" i="4"/>
  <c r="K23" i="4"/>
  <c r="K24" i="4"/>
  <c r="K7" i="4"/>
  <c r="F13" i="4"/>
  <c r="F9" i="4"/>
  <c r="F20" i="4"/>
  <c r="F19" i="4"/>
  <c r="F21" i="4"/>
  <c r="U17" i="2"/>
  <c r="V5" i="2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R17" i="2"/>
  <c r="S5" i="2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E21" i="4"/>
  <c r="E25" i="4"/>
  <c r="I12" i="1"/>
  <c r="F15" i="1"/>
  <c r="H12" i="1"/>
  <c r="D15" i="1"/>
  <c r="G15" i="1"/>
  <c r="D14" i="1"/>
  <c r="G12" i="1"/>
  <c r="L15" i="1" l="1"/>
  <c r="G25" i="4"/>
  <c r="G28" i="4" s="1"/>
  <c r="K9" i="4"/>
  <c r="K13" i="4"/>
  <c r="K21" i="4"/>
  <c r="K19" i="4"/>
  <c r="F25" i="4"/>
  <c r="E28" i="4"/>
  <c r="K25" i="4"/>
  <c r="D25" i="4"/>
  <c r="D28" i="4" s="1"/>
  <c r="C25" i="4"/>
  <c r="C28" i="4" s="1"/>
  <c r="F28" i="4" l="1"/>
  <c r="I25" i="4"/>
  <c r="H25" i="4"/>
  <c r="O17" i="2" l="1"/>
  <c r="H14" i="1" s="1"/>
  <c r="P5" i="2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L17" i="2"/>
  <c r="I17" i="2"/>
  <c r="F14" i="1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J5" i="2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F17" i="2"/>
  <c r="E14" i="1" s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C14" i="1"/>
  <c r="B14" i="1"/>
  <c r="H15" i="1" l="1"/>
  <c r="I15" i="1" s="1"/>
</calcChain>
</file>

<file path=xl/sharedStrings.xml><?xml version="1.0" encoding="utf-8"?>
<sst xmlns="http://schemas.openxmlformats.org/spreadsheetml/2006/main" count="84" uniqueCount="74">
  <si>
    <t>Tall Oaks Expenses Monthly Comparisons</t>
  </si>
  <si>
    <t>Running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</si>
  <si>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</si>
  <si>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</si>
  <si>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</si>
  <si>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</si>
  <si>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</si>
  <si>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</si>
  <si>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</si>
  <si>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</si>
  <si>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</si>
  <si>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</si>
  <si>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</si>
  <si>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</si>
  <si>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Entrance Landscaping Refurb</t>
  </si>
  <si>
    <t>Minimal Approach</t>
  </si>
  <si>
    <t>Extra Tree Work</t>
  </si>
  <si>
    <t>South Sign Repairs</t>
  </si>
  <si>
    <t>$500 Christmas Lighting</t>
  </si>
  <si>
    <t>No Christmas Lighting</t>
  </si>
  <si>
    <t>New Irrigation Controller</t>
  </si>
  <si>
    <t>Legal Consulting</t>
  </si>
  <si>
    <t>Sign Repairs</t>
  </si>
  <si>
    <t>Christmas Lighting</t>
  </si>
  <si>
    <t>Tall Oaks Yearly Comparisons</t>
  </si>
  <si>
    <t>Tall Oaks Homeowners Association</t>
  </si>
  <si>
    <t xml:space="preserve">Annual Financial Status Summary &amp; Comparison </t>
  </si>
  <si>
    <t>As of Dec 31 for Each Year</t>
  </si>
  <si>
    <t>Year</t>
  </si>
  <si>
    <t>Assessment Amount per Home</t>
  </si>
  <si>
    <t>Income - Assessments, Interest, Fines, etc. (91 Homes)</t>
  </si>
  <si>
    <t>Multiple</t>
  </si>
  <si>
    <t>$760 (1 home)</t>
  </si>
  <si>
    <t>Ending Balance on Nov 30</t>
  </si>
  <si>
    <t xml:space="preserve">*Income includes $1,490.00 of 2022 assessments paid early </t>
  </si>
  <si>
    <t>*Income lower by $1,490.00 of 2022 assessments paid in 2021.  
Also includes $38.68 in interest</t>
  </si>
  <si>
    <t>*Income lower by $13.18 due to short pay write offs
Also includes $61.82 in interest</t>
  </si>
  <si>
    <t>(Increase) /Decrease</t>
  </si>
  <si>
    <t>% Change</t>
  </si>
  <si>
    <t>Legal Services</t>
  </si>
  <si>
    <t>Liability Insurance Premium</t>
  </si>
  <si>
    <t xml:space="preserve">Common Ground Maintenance </t>
  </si>
  <si>
    <t>Landscaping</t>
  </si>
  <si>
    <t>Irrigation Maint/Repair</t>
  </si>
  <si>
    <t>Pest Control</t>
  </si>
  <si>
    <t>Entrance Lighting</t>
  </si>
  <si>
    <t xml:space="preserve">Sign Maintencace </t>
  </si>
  <si>
    <t>Miscellaneous Subdivision Expenses</t>
  </si>
  <si>
    <t>Subdivision Meeting Expenses</t>
  </si>
  <si>
    <t>Website Expenses</t>
  </si>
  <si>
    <t>Water Expenses</t>
  </si>
  <si>
    <t>Electric Expenses</t>
  </si>
  <si>
    <t>Postage</t>
  </si>
  <si>
    <t>General Office and Copy Supplies</t>
  </si>
  <si>
    <t>Recording Fees</t>
  </si>
  <si>
    <t>Collection Fee</t>
  </si>
  <si>
    <t>From the City and Village report</t>
  </si>
  <si>
    <t xml:space="preserve">Check </t>
  </si>
  <si>
    <t xml:space="preserve">2021 Actual </t>
  </si>
  <si>
    <t xml:space="preserve">2022 Actual </t>
  </si>
  <si>
    <t xml:space="preserve">2023 Actual </t>
  </si>
  <si>
    <t xml:space="preserve">2024 Actual </t>
  </si>
  <si>
    <t>2025 Budget</t>
  </si>
  <si>
    <t xml:space="preserve">Entrance Landscaping Refresh </t>
  </si>
  <si>
    <t>North Entrance Electical Repairs</t>
  </si>
  <si>
    <t>Delinquent Accounts as of Dec 31</t>
  </si>
  <si>
    <t>*Income lower by 1,355.56 unpaid assesments
Also includes $40.64 Insurance Refund and $39.25 of interest income</t>
  </si>
  <si>
    <t>Actual Annual Spend (12 months)</t>
  </si>
  <si>
    <t>Deer Removal from Common Ground</t>
  </si>
  <si>
    <t>2026 Forecast</t>
  </si>
  <si>
    <t xml:space="preserve">2025 Actual </t>
  </si>
  <si>
    <t>Seasonal Decorating</t>
  </si>
  <si>
    <t xml:space="preserve">FAV (Un-FAV) to Budget </t>
  </si>
  <si>
    <t>2026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</si>
</sst>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5" fontId="0" fillId="0" borderId="1" xfId="0" applyNumberFormat="1" applyBorder="1" applyAlignment="1">
      <alignment horizontal="center"/>
    </xf>
    <xf numFmtId="5" fontId="0" fillId="0" borderId="1" xfId="1" applyNumberFormat="1" applyFont="1" applyBorder="1" applyAlignment="1">
      <alignment horizontal="center"/>
    </xf>
    <xf numFmtId="4" fontId="0" fillId="0" borderId="0" xfId="0" applyNumberFormat="1"/>
    <xf numFmtId="4" fontId="0" fillId="0" borderId="2" xfId="0" applyNumberFormat="1" applyBorder="1"/>
    <xf numFmtId="1" fontId="0" fillId="0" borderId="0" xfId="0" applyNumberFormat="1" applyAlignment="1">
      <alignment horizontal="center"/>
    </xf>
    <xf numFmtId="5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5" fontId="0" fillId="0" borderId="1" xfId="1" applyNumberFormat="1" applyFont="1" applyFill="1" applyBorder="1" applyAlignment="1">
      <alignment horizontal="center"/>
    </xf>
    <xf numFmtId="4" fontId="3" fillId="0" borderId="0" xfId="0" applyNumberFormat="1" applyFont="1"/>
    <xf numFmtId="1" fontId="3" fillId="0" borderId="0" xfId="0" applyNumberFormat="1" applyFont="1" applyAlignment="1">
      <alignment horizontal="center"/>
    </xf>
    <xf numFmtId="4" fontId="6" fillId="0" borderId="0" xfId="0" applyNumberFormat="1" applyFont="1"/>
    <xf numFmtId="7" fontId="0" fillId="0" borderId="0" xfId="0" applyNumberFormat="1"/>
    <xf numFmtId="8" fontId="0" fillId="0" borderId="0" xfId="0" applyNumberFormat="1"/>
    <xf numFmtId="44" fontId="0" fillId="0" borderId="0" xfId="1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7" fontId="0" fillId="0" borderId="1" xfId="1" applyNumberFormat="1" applyFont="1" applyBorder="1" applyAlignment="1">
      <alignment horizontal="center"/>
    </xf>
    <xf numFmtId="10" fontId="0" fillId="0" borderId="0" xfId="2" applyNumberFormat="1" applyFont="1"/>
    <xf numFmtId="44" fontId="0" fillId="0" borderId="0" xfId="1" applyFont="1" applyFill="1"/>
    <xf numFmtId="9" fontId="0" fillId="0" borderId="4" xfId="2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8" fontId="0" fillId="0" borderId="0" xfId="0" applyNumberFormat="1" applyFill="1" applyAlignment="1">
      <alignment horizontal="center"/>
    </xf>
    <xf numFmtId="8" fontId="0" fillId="0" borderId="3" xfId="0" applyNumberFormat="1" applyFill="1" applyBorder="1" applyAlignment="1">
      <alignment horizontal="center"/>
    </xf>
    <xf numFmtId="8" fontId="0" fillId="0" borderId="0" xfId="0" applyNumberFormat="1" applyFill="1"/>
    <xf numFmtId="8" fontId="0" fillId="0" borderId="0" xfId="1" applyNumberFormat="1" applyFont="1"/>
    <xf numFmtId="4" fontId="0" fillId="0" borderId="0" xfId="0" applyNumberFormat="1" applyFill="1"/>
    <xf numFmtId="4" fontId="0" fillId="0" borderId="2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22</xdr:col>
      <xdr:colOff>504825</xdr:colOff>
      <xdr:row>24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173714-8763-2B1B-135E-E2F752004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180975"/>
          <a:ext cx="3552825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EB58-54CE-4A47-A96C-32C8F09FA142}">
  <sheetPr codeName="Sheet1"/>
  <dimension ref="A2:Y22"/>
  <sheetViews>
    <sheetView zoomScaleNormal="100" workbookViewId="0">
      <selection activeCell="Y24" sqref="Y24"/>
    </sheetView>
  </sheetViews>
  <sheetFormatPr defaultColWidth="8.85546875" defaultRowHeight="15" x14ac:dyDescent="0.25"/>
  <cols>
    <col min="1" max="1" width="8.85546875" style="3"/>
    <col min="2" max="2" width="2.140625" style="3" customWidth="1"/>
    <col min="3" max="3" width="9.42578125" style="3" customWidth="1"/>
    <col min="4" max="4" width="12.140625" style="3" bestFit="1" customWidth="1"/>
    <col min="5" max="5" width="2.140625" style="3" customWidth="1"/>
    <col min="6" max="6" width="10.7109375" style="3" customWidth="1"/>
    <col min="7" max="7" width="12.140625" style="3" bestFit="1" customWidth="1"/>
    <col min="8" max="8" width="2.140625" style="3" customWidth="1"/>
    <col min="9" max="9" width="10.5703125" style="3" customWidth="1"/>
    <col min="10" max="10" width="12.140625" style="3" bestFit="1" customWidth="1"/>
    <col min="11" max="11" width="2.140625" style="3" customWidth="1"/>
    <col min="12" max="12" width="10.42578125" style="3" customWidth="1"/>
    <col min="13" max="13" width="12.5703125" style="3" bestFit="1" customWidth="1"/>
    <col min="14" max="14" width="2.140625" style="3" customWidth="1"/>
    <col min="15" max="15" width="10.42578125" style="3" customWidth="1"/>
    <col min="16" max="16" width="12.5703125" style="3" bestFit="1" customWidth="1"/>
    <col min="17" max="17" width="2.140625" style="3" customWidth="1"/>
    <col min="18" max="18" width="10.140625" style="3" bestFit="1" customWidth="1"/>
    <col min="19" max="19" width="13.7109375" style="3" bestFit="1" customWidth="1"/>
    <col min="20" max="20" width="2.28515625" style="3" customWidth="1"/>
    <col min="21" max="21" width="10.140625" style="3" bestFit="1" customWidth="1"/>
    <col min="22" max="22" width="13.7109375" style="3" bestFit="1" customWidth="1"/>
    <col min="23" max="23" width="2.28515625" style="3" customWidth="1"/>
    <col min="24" max="24" width="8.85546875" style="3"/>
    <col min="25" max="25" width="13.28515625" style="3" bestFit="1" customWidth="1"/>
    <col min="26" max="26" width="9.140625" style="3" bestFit="1" customWidth="1"/>
    <col min="27" max="16384" width="8.85546875" style="3"/>
  </cols>
  <sheetData>
    <row r="2" spans="1:25" ht="15.75" x14ac:dyDescent="0.25">
      <c r="A2" s="13" t="s">
        <v>0</v>
      </c>
    </row>
    <row r="4" spans="1:25" s="12" customFormat="1" x14ac:dyDescent="0.25">
      <c r="C4" s="12">
        <v>2018</v>
      </c>
      <c r="D4" s="12" t="s">
        <v>1</v>
      </c>
      <c r="F4" s="12">
        <v>2019</v>
      </c>
      <c r="G4" s="12" t="s">
        <v>1</v>
      </c>
      <c r="I4" s="12">
        <v>2020</v>
      </c>
      <c r="J4" s="12" t="s">
        <v>1</v>
      </c>
      <c r="L4" s="12">
        <v>2021</v>
      </c>
      <c r="M4" s="12" t="s">
        <v>1</v>
      </c>
      <c r="O4" s="12">
        <v>2022</v>
      </c>
      <c r="P4" s="12" t="s">
        <v>1</v>
      </c>
      <c r="R4" s="12">
        <v>2023</v>
      </c>
      <c r="S4" s="12" t="s">
        <v>1</v>
      </c>
      <c r="U4" s="12">
        <v>2024</v>
      </c>
      <c r="V4" s="12" t="s">
        <v>1</v>
      </c>
      <c r="X4" s="12">
        <v>2025</v>
      </c>
      <c r="Y4" s="12" t="s">
        <v>1</v>
      </c>
    </row>
    <row r="5" spans="1:25" x14ac:dyDescent="0.25">
      <c r="A5" s="3" t="s">
        <v>2</v>
      </c>
      <c r="C5" s="3">
        <v>1538.75</v>
      </c>
      <c r="D5" s="3">
        <f>C5</f>
        <v>1538.75</v>
      </c>
      <c r="F5" s="3">
        <v>1539.02</v>
      </c>
      <c r="G5" s="3">
        <f>F5</f>
        <v>1539.02</v>
      </c>
      <c r="I5" s="3">
        <v>1676.91</v>
      </c>
      <c r="J5" s="3">
        <f>I5</f>
        <v>1676.91</v>
      </c>
      <c r="L5" s="3">
        <v>752.07</v>
      </c>
      <c r="M5" s="3">
        <f>L5</f>
        <v>752.07</v>
      </c>
      <c r="O5" s="3">
        <v>2323.16</v>
      </c>
      <c r="P5" s="3">
        <f>O5</f>
        <v>2323.16</v>
      </c>
      <c r="R5" s="3">
        <v>2308.91</v>
      </c>
      <c r="S5" s="3">
        <f>R5</f>
        <v>2308.91</v>
      </c>
      <c r="U5" s="3">
        <v>836.15</v>
      </c>
      <c r="V5" s="3">
        <f>U5</f>
        <v>836.15</v>
      </c>
      <c r="X5" s="38">
        <v>1443.77</v>
      </c>
      <c r="Y5" s="3">
        <f>X5</f>
        <v>1443.77</v>
      </c>
    </row>
    <row r="6" spans="1:25" x14ac:dyDescent="0.25">
      <c r="A6" s="3" t="s">
        <v>3</v>
      </c>
      <c r="C6" s="3">
        <v>3505.04</v>
      </c>
      <c r="D6" s="3">
        <f>D5+C6</f>
        <v>5043.79</v>
      </c>
      <c r="F6" s="3">
        <v>3243.85</v>
      </c>
      <c r="G6" s="3">
        <f>G5+F6</f>
        <v>4782.87</v>
      </c>
      <c r="I6" s="3">
        <v>3378.67</v>
      </c>
      <c r="J6" s="3">
        <f>J5+I6</f>
        <v>5055.58</v>
      </c>
      <c r="L6" s="3">
        <v>1584.05</v>
      </c>
      <c r="M6" s="3">
        <f>M5+L6</f>
        <v>2336.12</v>
      </c>
      <c r="O6" s="3">
        <v>959.22</v>
      </c>
      <c r="P6" s="3">
        <f>P5+O6</f>
        <v>3282.38</v>
      </c>
      <c r="R6" s="3">
        <v>1419.92</v>
      </c>
      <c r="S6" s="3">
        <f>S5+R6</f>
        <v>3728.83</v>
      </c>
      <c r="U6" s="3">
        <v>3112.47</v>
      </c>
      <c r="V6" s="3">
        <f>V5+U6</f>
        <v>3948.62</v>
      </c>
      <c r="X6" s="38">
        <v>2286.35</v>
      </c>
      <c r="Y6" s="3">
        <f>Y5+X6</f>
        <v>3730.12</v>
      </c>
    </row>
    <row r="7" spans="1:25" x14ac:dyDescent="0.25">
      <c r="A7" s="3" t="s">
        <v>4</v>
      </c>
      <c r="C7" s="3">
        <v>5129.58</v>
      </c>
      <c r="D7" s="3">
        <f t="shared" ref="D7:D16" si="0">D6+C7</f>
        <v>10173.369999999999</v>
      </c>
      <c r="F7" s="3">
        <v>1749.2</v>
      </c>
      <c r="G7" s="3">
        <f t="shared" ref="G7:M16" si="1">G6+F7</f>
        <v>6532.07</v>
      </c>
      <c r="I7" s="3">
        <v>1796.01</v>
      </c>
      <c r="J7" s="3">
        <f t="shared" si="1"/>
        <v>6851.59</v>
      </c>
      <c r="L7" s="3">
        <v>1565.25</v>
      </c>
      <c r="M7" s="3">
        <f t="shared" si="1"/>
        <v>3901.37</v>
      </c>
      <c r="O7" s="3">
        <v>3255.99</v>
      </c>
      <c r="P7" s="3">
        <f t="shared" ref="P7:P16" si="2">P6+O7</f>
        <v>6538.37</v>
      </c>
      <c r="R7" s="3">
        <v>852.75</v>
      </c>
      <c r="S7" s="3">
        <f t="shared" ref="S7:S16" si="3">S6+R7</f>
        <v>4581.58</v>
      </c>
      <c r="U7" s="3">
        <v>2913.98</v>
      </c>
      <c r="V7" s="3">
        <f t="shared" ref="V7:V16" si="4">V6+U7</f>
        <v>6862.6</v>
      </c>
      <c r="X7" s="38">
        <v>2190.59</v>
      </c>
      <c r="Y7" s="3">
        <f t="shared" ref="Y7:Y16" si="5">Y6+X7</f>
        <v>5920.71</v>
      </c>
    </row>
    <row r="8" spans="1:25" x14ac:dyDescent="0.25">
      <c r="A8" s="3" t="s">
        <v>5</v>
      </c>
      <c r="C8" s="3">
        <v>1648.67</v>
      </c>
      <c r="D8" s="3">
        <f t="shared" si="0"/>
        <v>11822.039999999999</v>
      </c>
      <c r="F8" s="3">
        <v>1705.03</v>
      </c>
      <c r="G8" s="3">
        <f t="shared" si="1"/>
        <v>8237.1</v>
      </c>
      <c r="I8" s="3">
        <v>1704.71</v>
      </c>
      <c r="J8" s="3">
        <f t="shared" si="1"/>
        <v>8556.2999999999993</v>
      </c>
      <c r="L8" s="3">
        <v>1604.81</v>
      </c>
      <c r="M8" s="3">
        <f t="shared" si="1"/>
        <v>5506.18</v>
      </c>
      <c r="O8" s="3">
        <v>2178.6999999999998</v>
      </c>
      <c r="P8" s="3">
        <f t="shared" si="2"/>
        <v>8717.07</v>
      </c>
      <c r="R8" s="3">
        <v>1251.21</v>
      </c>
      <c r="S8" s="3">
        <f t="shared" si="3"/>
        <v>5832.79</v>
      </c>
      <c r="U8" s="3">
        <v>5254.3200000000015</v>
      </c>
      <c r="V8" s="3">
        <f t="shared" si="4"/>
        <v>12116.920000000002</v>
      </c>
      <c r="X8" s="38">
        <v>1594.92</v>
      </c>
      <c r="Y8" s="3">
        <f t="shared" si="5"/>
        <v>7515.63</v>
      </c>
    </row>
    <row r="9" spans="1:25" x14ac:dyDescent="0.25">
      <c r="A9" s="3" t="s">
        <v>6</v>
      </c>
      <c r="C9" s="3">
        <v>463.47</v>
      </c>
      <c r="D9" s="3">
        <f t="shared" si="0"/>
        <v>12285.509999999998</v>
      </c>
      <c r="F9" s="3">
        <v>2428.58</v>
      </c>
      <c r="G9" s="3">
        <f t="shared" si="1"/>
        <v>10665.68</v>
      </c>
      <c r="I9" s="3">
        <v>2672.57</v>
      </c>
      <c r="J9" s="3">
        <f t="shared" si="1"/>
        <v>11228.869999999999</v>
      </c>
      <c r="L9" s="3">
        <v>1328.31</v>
      </c>
      <c r="M9" s="3">
        <f t="shared" si="1"/>
        <v>6834.49</v>
      </c>
      <c r="O9" s="3">
        <v>4630.1000000000004</v>
      </c>
      <c r="P9" s="3">
        <f t="shared" si="2"/>
        <v>13347.17</v>
      </c>
      <c r="R9" s="3">
        <v>1025.43</v>
      </c>
      <c r="S9" s="3">
        <f t="shared" si="3"/>
        <v>6858.22</v>
      </c>
      <c r="U9" s="3">
        <v>1299.3499999999999</v>
      </c>
      <c r="V9" s="3">
        <f t="shared" si="4"/>
        <v>13416.270000000002</v>
      </c>
      <c r="X9" s="38">
        <v>5059.95</v>
      </c>
      <c r="Y9" s="3">
        <f t="shared" si="5"/>
        <v>12575.58</v>
      </c>
    </row>
    <row r="10" spans="1:25" x14ac:dyDescent="0.25">
      <c r="A10" s="3" t="s">
        <v>7</v>
      </c>
      <c r="C10" s="3">
        <v>1855.05</v>
      </c>
      <c r="D10" s="3">
        <f t="shared" si="0"/>
        <v>14140.559999999998</v>
      </c>
      <c r="F10" s="3">
        <v>3349.01</v>
      </c>
      <c r="G10" s="3">
        <f t="shared" si="1"/>
        <v>14014.69</v>
      </c>
      <c r="I10" s="3">
        <v>1975.31</v>
      </c>
      <c r="J10" s="3">
        <f t="shared" si="1"/>
        <v>13204.179999999998</v>
      </c>
      <c r="L10" s="3">
        <v>1333.26</v>
      </c>
      <c r="M10" s="3">
        <f t="shared" si="1"/>
        <v>8167.75</v>
      </c>
      <c r="O10" s="3">
        <v>710.64</v>
      </c>
      <c r="P10" s="3">
        <f t="shared" si="2"/>
        <v>14057.81</v>
      </c>
      <c r="R10" s="3">
        <v>6192.84</v>
      </c>
      <c r="S10" s="3">
        <f t="shared" si="3"/>
        <v>13051.060000000001</v>
      </c>
      <c r="U10" s="3">
        <v>1045.96</v>
      </c>
      <c r="V10" s="3">
        <f t="shared" si="4"/>
        <v>14462.230000000003</v>
      </c>
      <c r="X10" s="38">
        <v>1584.47</v>
      </c>
      <c r="Y10" s="3">
        <f t="shared" si="5"/>
        <v>14160.05</v>
      </c>
    </row>
    <row r="11" spans="1:25" x14ac:dyDescent="0.25">
      <c r="A11" s="3" t="s">
        <v>8</v>
      </c>
      <c r="C11" s="3">
        <v>1564.72</v>
      </c>
      <c r="D11" s="3">
        <f t="shared" si="0"/>
        <v>15705.279999999997</v>
      </c>
      <c r="F11" s="3">
        <v>1652.24</v>
      </c>
      <c r="G11" s="3">
        <f t="shared" si="1"/>
        <v>15666.93</v>
      </c>
      <c r="I11" s="3">
        <v>1678.41</v>
      </c>
      <c r="J11" s="3">
        <f t="shared" si="1"/>
        <v>14882.589999999998</v>
      </c>
      <c r="L11" s="3">
        <v>1750.3</v>
      </c>
      <c r="M11" s="3">
        <f t="shared" si="1"/>
        <v>9918.0499999999993</v>
      </c>
      <c r="O11" s="3">
        <v>2791.68</v>
      </c>
      <c r="P11" s="3">
        <f t="shared" si="2"/>
        <v>16849.489999999998</v>
      </c>
      <c r="R11" s="3">
        <v>948.41</v>
      </c>
      <c r="S11" s="3">
        <f t="shared" si="3"/>
        <v>13999.470000000001</v>
      </c>
      <c r="U11" s="3">
        <v>2866.42</v>
      </c>
      <c r="V11" s="3">
        <f t="shared" si="4"/>
        <v>17328.650000000001</v>
      </c>
      <c r="X11" s="38">
        <v>1589.83</v>
      </c>
      <c r="Y11" s="3">
        <f t="shared" si="5"/>
        <v>15749.88</v>
      </c>
    </row>
    <row r="12" spans="1:25" x14ac:dyDescent="0.25">
      <c r="A12" s="3" t="s">
        <v>9</v>
      </c>
      <c r="C12" s="3">
        <v>3280.42</v>
      </c>
      <c r="D12" s="3">
        <f t="shared" si="0"/>
        <v>18985.699999999997</v>
      </c>
      <c r="F12" s="3">
        <v>3098.02</v>
      </c>
      <c r="G12" s="3">
        <f t="shared" si="1"/>
        <v>18764.95</v>
      </c>
      <c r="I12" s="3">
        <v>2955.73</v>
      </c>
      <c r="J12" s="3">
        <f t="shared" si="1"/>
        <v>17838.32</v>
      </c>
      <c r="L12" s="3">
        <v>4928.49</v>
      </c>
      <c r="M12" s="3">
        <f t="shared" si="1"/>
        <v>14846.539999999999</v>
      </c>
      <c r="O12" s="3">
        <v>4585.53</v>
      </c>
      <c r="P12" s="3">
        <f t="shared" si="2"/>
        <v>21435.019999999997</v>
      </c>
      <c r="R12" s="3">
        <v>3600.55</v>
      </c>
      <c r="S12" s="3">
        <f t="shared" si="3"/>
        <v>17600.02</v>
      </c>
      <c r="U12" s="3">
        <v>2172.12</v>
      </c>
      <c r="V12" s="3">
        <f t="shared" si="4"/>
        <v>19500.77</v>
      </c>
      <c r="X12" s="38">
        <v>1714.58</v>
      </c>
      <c r="Y12" s="3">
        <f t="shared" si="5"/>
        <v>17464.46</v>
      </c>
    </row>
    <row r="13" spans="1:25" x14ac:dyDescent="0.25">
      <c r="A13" s="3" t="s">
        <v>10</v>
      </c>
      <c r="C13" s="3">
        <v>2713.13</v>
      </c>
      <c r="D13" s="3">
        <f t="shared" si="0"/>
        <v>21698.829999999998</v>
      </c>
      <c r="F13" s="3">
        <v>2517.61</v>
      </c>
      <c r="G13" s="3">
        <f t="shared" si="1"/>
        <v>21282.560000000001</v>
      </c>
      <c r="I13" s="3">
        <v>2373.4699999999998</v>
      </c>
      <c r="J13" s="3">
        <f t="shared" si="1"/>
        <v>20211.79</v>
      </c>
      <c r="L13" s="3">
        <v>4399.99</v>
      </c>
      <c r="M13" s="3">
        <f t="shared" si="1"/>
        <v>19246.53</v>
      </c>
      <c r="O13" s="3">
        <v>726.06</v>
      </c>
      <c r="P13" s="3">
        <f t="shared" si="2"/>
        <v>22161.079999999998</v>
      </c>
      <c r="R13" s="3">
        <v>735.46</v>
      </c>
      <c r="S13" s="3">
        <f t="shared" si="3"/>
        <v>18335.48</v>
      </c>
      <c r="U13" s="3">
        <v>2603.62</v>
      </c>
      <c r="V13" s="3">
        <f t="shared" si="4"/>
        <v>22104.39</v>
      </c>
      <c r="X13" s="38">
        <v>2900.25</v>
      </c>
      <c r="Y13" s="3">
        <f t="shared" si="5"/>
        <v>20364.71</v>
      </c>
    </row>
    <row r="14" spans="1:25" x14ac:dyDescent="0.25">
      <c r="A14" s="3" t="s">
        <v>11</v>
      </c>
      <c r="C14" s="3">
        <v>2545.88</v>
      </c>
      <c r="D14" s="3">
        <f t="shared" si="0"/>
        <v>24244.71</v>
      </c>
      <c r="F14" s="3">
        <v>3917.6</v>
      </c>
      <c r="G14" s="3">
        <f t="shared" si="1"/>
        <v>25200.16</v>
      </c>
      <c r="I14" s="3">
        <v>2220.0500000000002</v>
      </c>
      <c r="J14" s="3">
        <f t="shared" si="1"/>
        <v>22431.84</v>
      </c>
      <c r="L14" s="3">
        <v>2627.17</v>
      </c>
      <c r="M14" s="3">
        <f t="shared" si="1"/>
        <v>21873.699999999997</v>
      </c>
      <c r="O14" s="3">
        <v>3185.17</v>
      </c>
      <c r="P14" s="3">
        <f t="shared" si="2"/>
        <v>25346.25</v>
      </c>
      <c r="R14" s="3">
        <v>762.4</v>
      </c>
      <c r="S14" s="3">
        <f t="shared" si="3"/>
        <v>19097.88</v>
      </c>
      <c r="U14" s="3">
        <v>5647.2</v>
      </c>
      <c r="V14" s="3">
        <f t="shared" si="4"/>
        <v>27751.59</v>
      </c>
      <c r="X14" s="38">
        <v>2611.4699999999998</v>
      </c>
      <c r="Y14" s="3">
        <f t="shared" si="5"/>
        <v>22976.18</v>
      </c>
    </row>
    <row r="15" spans="1:25" x14ac:dyDescent="0.25">
      <c r="A15" s="3" t="s">
        <v>12</v>
      </c>
      <c r="C15" s="3">
        <v>578.46</v>
      </c>
      <c r="D15" s="3">
        <f t="shared" si="0"/>
        <v>24823.17</v>
      </c>
      <c r="F15" s="3">
        <v>1597.24</v>
      </c>
      <c r="G15" s="3">
        <f t="shared" si="1"/>
        <v>26797.4</v>
      </c>
      <c r="I15" s="3">
        <v>1532.76</v>
      </c>
      <c r="J15" s="3">
        <f t="shared" si="1"/>
        <v>23964.6</v>
      </c>
      <c r="L15" s="3">
        <v>2911.15</v>
      </c>
      <c r="M15" s="3">
        <f t="shared" si="1"/>
        <v>24784.85</v>
      </c>
      <c r="O15" s="3">
        <v>858.56</v>
      </c>
      <c r="P15" s="3">
        <f t="shared" si="2"/>
        <v>26204.81</v>
      </c>
      <c r="R15" s="3">
        <v>3271.81</v>
      </c>
      <c r="S15" s="3">
        <f t="shared" si="3"/>
        <v>22369.690000000002</v>
      </c>
      <c r="U15" s="3">
        <v>685.38</v>
      </c>
      <c r="V15" s="3">
        <f t="shared" si="4"/>
        <v>28436.97</v>
      </c>
      <c r="X15" s="38">
        <v>2867.73</v>
      </c>
      <c r="Y15" s="3">
        <f t="shared" si="5"/>
        <v>25843.91</v>
      </c>
    </row>
    <row r="16" spans="1:25" x14ac:dyDescent="0.25">
      <c r="A16" s="3" t="s">
        <v>13</v>
      </c>
      <c r="C16" s="4">
        <v>1073.1400000000001</v>
      </c>
      <c r="D16" s="3">
        <f t="shared" si="0"/>
        <v>25896.309999999998</v>
      </c>
      <c r="F16" s="4">
        <v>787.35</v>
      </c>
      <c r="G16" s="3">
        <f t="shared" si="1"/>
        <v>27584.75</v>
      </c>
      <c r="I16" s="4">
        <v>533.20000000000005</v>
      </c>
      <c r="J16" s="3">
        <f t="shared" si="1"/>
        <v>24497.8</v>
      </c>
      <c r="L16" s="4">
        <v>3811.28</v>
      </c>
      <c r="M16" s="3">
        <f t="shared" si="1"/>
        <v>28596.129999999997</v>
      </c>
      <c r="O16" s="4">
        <v>3594.24</v>
      </c>
      <c r="P16" s="3">
        <f t="shared" si="2"/>
        <v>29799.050000000003</v>
      </c>
      <c r="R16" s="4">
        <v>1014.46</v>
      </c>
      <c r="S16" s="3">
        <f t="shared" si="3"/>
        <v>23384.15</v>
      </c>
      <c r="U16" s="4">
        <v>5194.99</v>
      </c>
      <c r="V16" s="3">
        <f t="shared" si="4"/>
        <v>33631.96</v>
      </c>
      <c r="X16" s="39">
        <v>806.1</v>
      </c>
      <c r="Y16" s="3">
        <f t="shared" si="5"/>
        <v>26650.01</v>
      </c>
    </row>
    <row r="17" spans="3:24" x14ac:dyDescent="0.25">
      <c r="C17" s="11">
        <v>25896.31</v>
      </c>
      <c r="D17" s="11"/>
      <c r="E17" s="11"/>
      <c r="F17" s="11">
        <f>SUM(F5:F16)</f>
        <v>27584.75</v>
      </c>
      <c r="G17" s="11"/>
      <c r="H17" s="11"/>
      <c r="I17" s="11">
        <f>SUM(I5:I16)</f>
        <v>24497.8</v>
      </c>
      <c r="J17" s="11"/>
      <c r="K17" s="11"/>
      <c r="L17" s="11">
        <f>SUM(L5:L16)</f>
        <v>28596.129999999997</v>
      </c>
      <c r="O17" s="11">
        <f>SUM(O5:O16)</f>
        <v>29799.050000000003</v>
      </c>
      <c r="R17" s="11">
        <f>SUM(R5:R16)</f>
        <v>23384.15</v>
      </c>
      <c r="U17" s="11">
        <f>SUM(U5:U16)</f>
        <v>33631.96</v>
      </c>
      <c r="X17" s="11">
        <f>SUM(X5:X16)</f>
        <v>26650.01</v>
      </c>
    </row>
    <row r="18" spans="3:24" x14ac:dyDescent="0.25">
      <c r="F18" s="9" t="s">
        <v>14</v>
      </c>
      <c r="I18" s="9" t="s">
        <v>15</v>
      </c>
      <c r="L18" s="9" t="s">
        <v>16</v>
      </c>
      <c r="O18" s="9" t="s">
        <v>17</v>
      </c>
      <c r="R18" s="9" t="s">
        <v>15</v>
      </c>
      <c r="U18" s="9" t="s">
        <v>63</v>
      </c>
      <c r="X18" s="9"/>
    </row>
    <row r="19" spans="3:24" x14ac:dyDescent="0.25">
      <c r="F19" s="9" t="s">
        <v>18</v>
      </c>
      <c r="I19" s="9" t="s">
        <v>19</v>
      </c>
      <c r="L19" s="9" t="s">
        <v>20</v>
      </c>
      <c r="O19" s="9" t="s">
        <v>21</v>
      </c>
      <c r="R19" s="29"/>
      <c r="U19" s="9" t="s">
        <v>64</v>
      </c>
      <c r="X19" s="9"/>
    </row>
    <row r="20" spans="3:24" x14ac:dyDescent="0.25">
      <c r="L20" s="9" t="s">
        <v>22</v>
      </c>
      <c r="O20" s="9"/>
      <c r="U20" s="9" t="s">
        <v>68</v>
      </c>
      <c r="X20" s="9"/>
    </row>
    <row r="21" spans="3:24" x14ac:dyDescent="0.25">
      <c r="E21" s="5"/>
      <c r="L21" s="9" t="s">
        <v>23</v>
      </c>
      <c r="O21" s="9"/>
    </row>
    <row r="22" spans="3:24" x14ac:dyDescent="0.25">
      <c r="L22" s="9" t="s">
        <v>21</v>
      </c>
      <c r="O22" s="9"/>
    </row>
  </sheetData>
  <phoneticPr fontId="2" type="noConversion"/>
  <pageMargins left="0.25" right="0.25" top="0.75" bottom="0.75" header="0.3" footer="0.3"/>
  <pageSetup orientation="landscape" r:id="rId1"/>
  <ignoredErrors>
    <ignoredError sqref="F17 I17 L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1B02B-8E1F-4D74-918D-257A033844F5}">
  <sheetPr codeName="Sheet2"/>
  <dimension ref="A3:N21"/>
  <sheetViews>
    <sheetView tabSelected="1" zoomScale="90" zoomScaleNormal="90" workbookViewId="0">
      <selection activeCell="L15" sqref="L15"/>
    </sheetView>
  </sheetViews>
  <sheetFormatPr defaultRowHeight="15" x14ac:dyDescent="0.25"/>
  <cols>
    <col min="1" max="1" width="46.85546875" customWidth="1"/>
    <col min="2" max="12" width="16.5703125" customWidth="1"/>
    <col min="14" max="14" width="10.42578125" bestFit="1" customWidth="1"/>
  </cols>
  <sheetData>
    <row r="3" spans="1:14" x14ac:dyDescent="0.25">
      <c r="A3" t="s">
        <v>24</v>
      </c>
    </row>
    <row r="6" spans="1:14" ht="18.75" x14ac:dyDescent="0.3">
      <c r="A6" s="31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4" ht="18.75" x14ac:dyDescent="0.3">
      <c r="A7" s="31" t="s">
        <v>26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4" ht="18.75" x14ac:dyDescent="0.3">
      <c r="A8" s="31" t="s">
        <v>27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4" ht="6.6" customHeight="1" x14ac:dyDescent="0.25">
      <c r="A9" s="30"/>
      <c r="B9" s="30"/>
      <c r="C9" s="30"/>
      <c r="D9" s="30"/>
      <c r="E9" s="30"/>
      <c r="F9" s="30"/>
      <c r="G9" s="30"/>
    </row>
    <row r="10" spans="1:14" x14ac:dyDescent="0.25">
      <c r="A10" s="7" t="s">
        <v>28</v>
      </c>
      <c r="B10" s="8">
        <v>2016</v>
      </c>
      <c r="C10" s="8">
        <v>2017</v>
      </c>
      <c r="D10" s="8">
        <v>2018</v>
      </c>
      <c r="E10" s="8">
        <v>2019</v>
      </c>
      <c r="F10" s="8">
        <v>2020</v>
      </c>
      <c r="G10" s="8">
        <v>2021</v>
      </c>
      <c r="H10" s="8">
        <v>2022</v>
      </c>
      <c r="I10" s="8">
        <v>2023</v>
      </c>
      <c r="J10" s="8">
        <v>2024</v>
      </c>
      <c r="K10" s="8">
        <v>2025</v>
      </c>
      <c r="L10" s="8" t="s">
        <v>69</v>
      </c>
    </row>
    <row r="11" spans="1:14" x14ac:dyDescent="0.25">
      <c r="A11" s="7" t="s">
        <v>29</v>
      </c>
      <c r="B11" s="1">
        <v>270</v>
      </c>
      <c r="C11" s="1">
        <v>270</v>
      </c>
      <c r="D11" s="1">
        <v>275</v>
      </c>
      <c r="E11" s="1">
        <v>280</v>
      </c>
      <c r="F11" s="2">
        <v>285</v>
      </c>
      <c r="G11" s="2">
        <v>290</v>
      </c>
      <c r="H11" s="2">
        <v>300</v>
      </c>
      <c r="I11" s="2">
        <v>375</v>
      </c>
      <c r="J11" s="2">
        <v>375</v>
      </c>
      <c r="K11" s="2">
        <v>375</v>
      </c>
      <c r="L11" s="2">
        <v>375</v>
      </c>
    </row>
    <row r="12" spans="1:14" x14ac:dyDescent="0.25">
      <c r="A12" s="7" t="s">
        <v>30</v>
      </c>
      <c r="B12" s="2">
        <v>24445</v>
      </c>
      <c r="C12" s="2">
        <v>24444.02</v>
      </c>
      <c r="D12" s="2">
        <v>24997.73</v>
      </c>
      <c r="E12" s="2">
        <v>26182.87</v>
      </c>
      <c r="F12" s="2">
        <v>26038.27</v>
      </c>
      <c r="G12" s="2">
        <f>(G11*91)+1490</f>
        <v>27880</v>
      </c>
      <c r="H12" s="2">
        <f>(H11*(91-5))+10+38.68</f>
        <v>25848.68</v>
      </c>
      <c r="I12" s="25">
        <f>(I11*91)-13.18</f>
        <v>34111.82</v>
      </c>
      <c r="J12" s="25">
        <f>((J11*87)+(294.45+40.64+39.35))</f>
        <v>32999.440000000002</v>
      </c>
      <c r="K12" s="2">
        <f>(K11*90)+62.59</f>
        <v>33812.589999999997</v>
      </c>
      <c r="L12" s="2">
        <f>(L11*91)+K13</f>
        <v>35633.33</v>
      </c>
    </row>
    <row r="13" spans="1:14" x14ac:dyDescent="0.25">
      <c r="A13" s="7" t="s">
        <v>65</v>
      </c>
      <c r="B13" s="2" t="s">
        <v>31</v>
      </c>
      <c r="C13" s="2" t="s">
        <v>31</v>
      </c>
      <c r="D13" s="2" t="s">
        <v>32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10">
        <v>1355.28</v>
      </c>
      <c r="K13" s="2">
        <v>1508.33</v>
      </c>
      <c r="L13" s="2">
        <v>0</v>
      </c>
    </row>
    <row r="14" spans="1:14" x14ac:dyDescent="0.25">
      <c r="A14" s="7" t="s">
        <v>67</v>
      </c>
      <c r="B14" s="2">
        <f>22376.59+1050</f>
        <v>23426.59</v>
      </c>
      <c r="C14" s="2">
        <f>25140.72+1506.42</f>
        <v>26647.14</v>
      </c>
      <c r="D14" s="2">
        <f>Monthly!C17</f>
        <v>25896.31</v>
      </c>
      <c r="E14" s="2">
        <f>Monthly!F17</f>
        <v>27584.75</v>
      </c>
      <c r="F14" s="2">
        <f>Monthly!I17</f>
        <v>24497.8</v>
      </c>
      <c r="G14" s="10">
        <v>28596.13</v>
      </c>
      <c r="H14" s="10">
        <f>Monthly!O17</f>
        <v>29799.050000000003</v>
      </c>
      <c r="I14" s="10">
        <f>Monthly!R17</f>
        <v>23384.15</v>
      </c>
      <c r="J14" s="10">
        <f>Monthly!U17</f>
        <v>33631.96</v>
      </c>
      <c r="K14" s="10">
        <f>YOY!G25*-1</f>
        <v>26650.01</v>
      </c>
      <c r="L14" s="10">
        <f>YOY!M25*-1</f>
        <v>27716.010399999999</v>
      </c>
    </row>
    <row r="15" spans="1:14" x14ac:dyDescent="0.25">
      <c r="A15" s="7" t="s">
        <v>33</v>
      </c>
      <c r="B15" s="2">
        <v>9862.83</v>
      </c>
      <c r="C15" s="2">
        <v>7709.71</v>
      </c>
      <c r="D15" s="2">
        <f>6886.87</f>
        <v>6886.87</v>
      </c>
      <c r="E15" s="2">
        <v>5199.2</v>
      </c>
      <c r="F15" s="2">
        <f>6485.52-345.46-38.68</f>
        <v>6101.38</v>
      </c>
      <c r="G15" s="10">
        <f>F15+G12-G13-G14</f>
        <v>5385.2499999999964</v>
      </c>
      <c r="H15" s="10">
        <f>G15+H12-H13-H14</f>
        <v>1434.8799999999937</v>
      </c>
      <c r="I15" s="10">
        <f>H15+I12-I13-I14</f>
        <v>12162.549999999996</v>
      </c>
      <c r="J15" s="10">
        <f>I15+J12-J14</f>
        <v>11530.029999999999</v>
      </c>
      <c r="K15" s="10">
        <f>J15+K12-K14</f>
        <v>18692.609999999997</v>
      </c>
      <c r="L15" s="10">
        <f>J15+L12-L13-L14</f>
        <v>19447.349600000001</v>
      </c>
      <c r="N15" s="6"/>
    </row>
    <row r="16" spans="1:14" x14ac:dyDescent="0.25">
      <c r="H16" s="17"/>
      <c r="N16" s="14"/>
    </row>
    <row r="17" spans="7:10" ht="135" x14ac:dyDescent="0.25">
      <c r="G17" s="19" t="s">
        <v>34</v>
      </c>
      <c r="H17" s="18" t="s">
        <v>35</v>
      </c>
      <c r="I17" s="18" t="s">
        <v>36</v>
      </c>
      <c r="J17" s="18" t="s">
        <v>66</v>
      </c>
    </row>
    <row r="18" spans="7:10" x14ac:dyDescent="0.25">
      <c r="H18" s="14"/>
    </row>
    <row r="20" spans="7:10" x14ac:dyDescent="0.25">
      <c r="G20" s="6"/>
    </row>
    <row r="21" spans="7:10" x14ac:dyDescent="0.25">
      <c r="G21" s="14"/>
    </row>
  </sheetData>
  <mergeCells count="4">
    <mergeCell ref="A9:G9"/>
    <mergeCell ref="A8:L8"/>
    <mergeCell ref="A7:L7"/>
    <mergeCell ref="A6:L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BB5B-B198-4CA6-BCC6-C845731C6E9D}">
  <sheetPr codeName="Sheet3"/>
  <dimension ref="A3:X29"/>
  <sheetViews>
    <sheetView zoomScale="110" zoomScaleNormal="110" workbookViewId="0">
      <selection activeCell="I8" sqref="I8"/>
    </sheetView>
  </sheetViews>
  <sheetFormatPr defaultRowHeight="15" x14ac:dyDescent="0.25"/>
  <cols>
    <col min="1" max="1" width="5.42578125" bestFit="1" customWidth="1"/>
    <col min="2" max="2" width="34" bestFit="1" customWidth="1"/>
    <col min="3" max="3" width="19.42578125" bestFit="1" customWidth="1"/>
    <col min="4" max="7" width="12.5703125" bestFit="1" customWidth="1"/>
    <col min="8" max="8" width="19.5703125" bestFit="1" customWidth="1"/>
    <col min="9" max="9" width="15.5703125" bestFit="1" customWidth="1"/>
    <col min="10" max="10" width="6.28515625" bestFit="1" customWidth="1"/>
    <col min="11" max="11" width="12.5703125" bestFit="1" customWidth="1"/>
    <col min="12" max="12" width="23" bestFit="1" customWidth="1"/>
    <col min="13" max="13" width="11.7109375" bestFit="1" customWidth="1"/>
  </cols>
  <sheetData>
    <row r="3" spans="1:24" x14ac:dyDescent="0.25">
      <c r="G3" s="32"/>
    </row>
    <row r="4" spans="1:24" x14ac:dyDescent="0.25">
      <c r="C4" s="16"/>
      <c r="D4" s="16"/>
      <c r="E4" s="16"/>
      <c r="F4" s="27"/>
      <c r="G4" s="27"/>
      <c r="K4" s="16"/>
      <c r="X4">
        <v>2067.92</v>
      </c>
    </row>
    <row r="5" spans="1:24" x14ac:dyDescent="0.25">
      <c r="G5" s="32"/>
      <c r="X5">
        <v>325</v>
      </c>
    </row>
    <row r="6" spans="1:24" x14ac:dyDescent="0.25">
      <c r="C6" s="20" t="s">
        <v>58</v>
      </c>
      <c r="D6" s="20" t="s">
        <v>59</v>
      </c>
      <c r="E6" s="20" t="s">
        <v>60</v>
      </c>
      <c r="F6" s="20" t="s">
        <v>61</v>
      </c>
      <c r="G6" s="33" t="s">
        <v>70</v>
      </c>
      <c r="H6" s="20" t="s">
        <v>37</v>
      </c>
      <c r="I6" s="20" t="s">
        <v>38</v>
      </c>
      <c r="J6" s="20"/>
      <c r="K6" s="20" t="s">
        <v>62</v>
      </c>
      <c r="L6" s="20" t="s">
        <v>72</v>
      </c>
      <c r="M6" s="20" t="s">
        <v>73</v>
      </c>
      <c r="X6">
        <v>6689.03</v>
      </c>
    </row>
    <row r="7" spans="1:24" x14ac:dyDescent="0.25">
      <c r="A7">
        <v>1100</v>
      </c>
      <c r="B7" t="s">
        <v>39</v>
      </c>
      <c r="C7" s="21">
        <v>-445.3</v>
      </c>
      <c r="D7" s="21">
        <v>-2743.86</v>
      </c>
      <c r="E7" s="21">
        <v>0</v>
      </c>
      <c r="F7" s="21">
        <v>0</v>
      </c>
      <c r="G7" s="34">
        <v>0</v>
      </c>
      <c r="H7" s="21">
        <f>G7-F7</f>
        <v>0</v>
      </c>
      <c r="I7" s="22">
        <v>0</v>
      </c>
      <c r="J7" s="20"/>
      <c r="K7" s="21">
        <f>F7*1.05</f>
        <v>0</v>
      </c>
      <c r="L7" s="15">
        <f t="shared" ref="L7:L23" si="0">G7-K7</f>
        <v>0</v>
      </c>
      <c r="M7" s="15">
        <f>G7*1.04</f>
        <v>0</v>
      </c>
      <c r="X7">
        <v>718.39</v>
      </c>
    </row>
    <row r="8" spans="1:24" x14ac:dyDescent="0.25">
      <c r="A8">
        <v>1200</v>
      </c>
      <c r="B8" t="s">
        <v>40</v>
      </c>
      <c r="C8" s="21">
        <v>-660.91</v>
      </c>
      <c r="D8" s="21">
        <v>-718.39</v>
      </c>
      <c r="E8" s="21">
        <v>-812.8</v>
      </c>
      <c r="F8" s="21">
        <v>-1163.8900000000001</v>
      </c>
      <c r="G8" s="34">
        <f>-1331-500</f>
        <v>-1831</v>
      </c>
      <c r="H8" s="21">
        <f t="shared" ref="H8:H24" si="1">G8-F8</f>
        <v>-667.1099999999999</v>
      </c>
      <c r="I8" s="22">
        <f>G8/F8</f>
        <v>1.5731727225081407</v>
      </c>
      <c r="J8" s="20"/>
      <c r="K8" s="21">
        <f t="shared" ref="K8:K24" si="2">F8*1.05</f>
        <v>-1222.0845000000002</v>
      </c>
      <c r="L8" s="15">
        <f t="shared" si="0"/>
        <v>-608.91549999999984</v>
      </c>
      <c r="M8" s="15">
        <f t="shared" ref="M8:M25" si="3">G8*1.04</f>
        <v>-1904.24</v>
      </c>
      <c r="N8" s="26"/>
      <c r="X8">
        <v>535.05999999999995</v>
      </c>
    </row>
    <row r="9" spans="1:24" x14ac:dyDescent="0.25">
      <c r="A9">
        <v>2000</v>
      </c>
      <c r="B9" t="s">
        <v>41</v>
      </c>
      <c r="C9" s="21">
        <v>-10166.16</v>
      </c>
      <c r="D9" s="21">
        <v>-10105.5</v>
      </c>
      <c r="E9" s="21">
        <v>-9423</v>
      </c>
      <c r="F9" s="34">
        <f>-5027-7048.1</f>
        <v>-12075.1</v>
      </c>
      <c r="G9" s="34">
        <f>-10371.75</f>
        <v>-10371.75</v>
      </c>
      <c r="H9" s="21">
        <f t="shared" si="1"/>
        <v>1703.3500000000004</v>
      </c>
      <c r="I9" s="22">
        <f t="shared" ref="I9:I24" si="4">G9/F9</f>
        <v>0.85893698602910118</v>
      </c>
      <c r="J9" s="20"/>
      <c r="K9" s="21">
        <f t="shared" si="2"/>
        <v>-12678.855000000001</v>
      </c>
      <c r="L9" s="15">
        <f t="shared" si="0"/>
        <v>2307.1050000000014</v>
      </c>
      <c r="M9" s="15">
        <f t="shared" si="3"/>
        <v>-10786.62</v>
      </c>
      <c r="X9">
        <v>2545.7800000000002</v>
      </c>
    </row>
    <row r="10" spans="1:24" x14ac:dyDescent="0.25">
      <c r="A10">
        <v>2100</v>
      </c>
      <c r="B10" t="s">
        <v>42</v>
      </c>
      <c r="C10" s="21">
        <v>-1920</v>
      </c>
      <c r="D10" s="21">
        <v>-2177.7199999999998</v>
      </c>
      <c r="E10" s="21">
        <v>-200</v>
      </c>
      <c r="F10" s="34">
        <v>-4048.1</v>
      </c>
      <c r="G10" s="34">
        <v>-500</v>
      </c>
      <c r="H10" s="21">
        <f t="shared" si="1"/>
        <v>3548.1</v>
      </c>
      <c r="I10" s="22">
        <f t="shared" si="4"/>
        <v>0.12351473530792224</v>
      </c>
      <c r="J10" s="20"/>
      <c r="K10" s="21">
        <v>-1000</v>
      </c>
      <c r="L10" s="15">
        <f t="shared" si="0"/>
        <v>500</v>
      </c>
      <c r="M10" s="15">
        <f t="shared" si="3"/>
        <v>-520</v>
      </c>
      <c r="X10">
        <v>1164.53</v>
      </c>
    </row>
    <row r="11" spans="1:24" x14ac:dyDescent="0.25">
      <c r="A11">
        <v>2150</v>
      </c>
      <c r="B11" t="s">
        <v>43</v>
      </c>
      <c r="C11" s="21">
        <v>-249</v>
      </c>
      <c r="D11" s="21">
        <v>-210.75</v>
      </c>
      <c r="E11" s="21">
        <v>-99</v>
      </c>
      <c r="F11" s="34">
        <v>0</v>
      </c>
      <c r="G11" s="34">
        <v>0</v>
      </c>
      <c r="H11" s="21">
        <f t="shared" si="1"/>
        <v>0</v>
      </c>
      <c r="I11" s="22">
        <v>0</v>
      </c>
      <c r="J11" s="20"/>
      <c r="K11" s="21">
        <f t="shared" si="2"/>
        <v>0</v>
      </c>
      <c r="L11" s="15">
        <f t="shared" si="0"/>
        <v>0</v>
      </c>
      <c r="M11" s="15">
        <f t="shared" si="3"/>
        <v>0</v>
      </c>
      <c r="X11">
        <v>20.83</v>
      </c>
    </row>
    <row r="12" spans="1:24" x14ac:dyDescent="0.25">
      <c r="A12">
        <v>2450</v>
      </c>
      <c r="B12" t="s">
        <v>71</v>
      </c>
      <c r="C12" s="21">
        <v>-1012.75</v>
      </c>
      <c r="D12" s="21">
        <v>-982.53</v>
      </c>
      <c r="E12" s="21">
        <v>-715.9</v>
      </c>
      <c r="F12" s="34">
        <v>-1086.08</v>
      </c>
      <c r="G12" s="34">
        <v>-1205.96</v>
      </c>
      <c r="H12" s="21">
        <f t="shared" si="1"/>
        <v>-119.88000000000011</v>
      </c>
      <c r="I12" s="22">
        <f t="shared" si="4"/>
        <v>1.1103786093105481</v>
      </c>
      <c r="J12" s="20"/>
      <c r="K12" s="21">
        <v>-1000</v>
      </c>
      <c r="L12" s="15">
        <f t="shared" si="0"/>
        <v>-205.96000000000004</v>
      </c>
      <c r="M12" s="15">
        <f t="shared" si="3"/>
        <v>-1254.1984</v>
      </c>
      <c r="X12">
        <v>789.5</v>
      </c>
    </row>
    <row r="13" spans="1:24" x14ac:dyDescent="0.25">
      <c r="A13">
        <v>2501</v>
      </c>
      <c r="B13" t="s">
        <v>44</v>
      </c>
      <c r="C13" s="21">
        <v>-229</v>
      </c>
      <c r="D13" s="21">
        <v>0</v>
      </c>
      <c r="E13" s="21">
        <v>-687</v>
      </c>
      <c r="F13" s="34">
        <f>-1374-229</f>
        <v>-1603</v>
      </c>
      <c r="G13" s="34">
        <v>-229</v>
      </c>
      <c r="H13" s="21">
        <f t="shared" si="1"/>
        <v>1374</v>
      </c>
      <c r="I13" s="22">
        <f t="shared" si="4"/>
        <v>0.14285714285714285</v>
      </c>
      <c r="J13" s="20"/>
      <c r="K13" s="21">
        <f t="shared" si="2"/>
        <v>-1683.15</v>
      </c>
      <c r="L13" s="15">
        <f t="shared" si="0"/>
        <v>1454.15</v>
      </c>
      <c r="M13" s="15">
        <f t="shared" si="3"/>
        <v>-238.16</v>
      </c>
      <c r="X13">
        <v>4785.75</v>
      </c>
    </row>
    <row r="14" spans="1:24" x14ac:dyDescent="0.25">
      <c r="A14">
        <v>2561</v>
      </c>
      <c r="B14" t="s">
        <v>45</v>
      </c>
      <c r="C14" s="21">
        <v>-497</v>
      </c>
      <c r="D14" s="21">
        <v>-20.83</v>
      </c>
      <c r="E14" s="21">
        <v>1.0000000000000001E-5</v>
      </c>
      <c r="F14" s="34">
        <v>-1417.43</v>
      </c>
      <c r="G14" s="34">
        <v>0</v>
      </c>
      <c r="H14" s="21">
        <f t="shared" si="1"/>
        <v>1417.43</v>
      </c>
      <c r="I14" s="22">
        <f t="shared" si="4"/>
        <v>0</v>
      </c>
      <c r="J14" s="20"/>
      <c r="K14" s="21">
        <v>-500</v>
      </c>
      <c r="L14" s="15">
        <f t="shared" si="0"/>
        <v>500</v>
      </c>
      <c r="M14" s="15">
        <f t="shared" si="3"/>
        <v>0</v>
      </c>
      <c r="X14">
        <v>6347.5</v>
      </c>
    </row>
    <row r="15" spans="1:24" x14ac:dyDescent="0.25">
      <c r="A15">
        <v>2645</v>
      </c>
      <c r="B15" t="s">
        <v>46</v>
      </c>
      <c r="C15" s="21">
        <v>-2810.99</v>
      </c>
      <c r="D15" s="21">
        <v>-2545.7800000000002</v>
      </c>
      <c r="E15" s="21">
        <v>9.9999999999999995E-7</v>
      </c>
      <c r="F15" s="21">
        <v>-213.61</v>
      </c>
      <c r="G15" s="34">
        <v>-36.979999999999997</v>
      </c>
      <c r="H15" s="21">
        <f t="shared" si="1"/>
        <v>176.63000000000002</v>
      </c>
      <c r="I15" s="22">
        <f t="shared" si="4"/>
        <v>0.17311923599082438</v>
      </c>
      <c r="J15" s="20"/>
      <c r="K15" s="21">
        <f t="shared" si="2"/>
        <v>-224.29050000000004</v>
      </c>
      <c r="L15" s="15">
        <f t="shared" si="0"/>
        <v>187.31050000000005</v>
      </c>
      <c r="M15" s="15">
        <f t="shared" si="3"/>
        <v>-38.459199999999996</v>
      </c>
      <c r="X15">
        <v>2743.86</v>
      </c>
    </row>
    <row r="16" spans="1:24" x14ac:dyDescent="0.25">
      <c r="A16">
        <v>3610</v>
      </c>
      <c r="B16" t="s">
        <v>47</v>
      </c>
      <c r="C16" s="21">
        <v>0</v>
      </c>
      <c r="D16" s="21">
        <v>-12.18</v>
      </c>
      <c r="E16" s="21">
        <v>-301.83</v>
      </c>
      <c r="F16" s="21">
        <v>0</v>
      </c>
      <c r="G16" s="34">
        <v>0</v>
      </c>
      <c r="H16" s="21">
        <f t="shared" si="1"/>
        <v>0</v>
      </c>
      <c r="I16" s="22">
        <v>0</v>
      </c>
      <c r="J16" s="20"/>
      <c r="K16" s="21">
        <f t="shared" si="2"/>
        <v>0</v>
      </c>
      <c r="L16" s="15">
        <f t="shared" si="0"/>
        <v>0</v>
      </c>
      <c r="M16" s="15">
        <f t="shared" si="3"/>
        <v>0</v>
      </c>
      <c r="X16">
        <v>200</v>
      </c>
    </row>
    <row r="17" spans="1:24" x14ac:dyDescent="0.25">
      <c r="A17">
        <v>3700</v>
      </c>
      <c r="B17" t="s">
        <v>48</v>
      </c>
      <c r="C17" s="21">
        <v>0</v>
      </c>
      <c r="D17" s="21">
        <v>0</v>
      </c>
      <c r="E17" s="21">
        <v>-188.74</v>
      </c>
      <c r="F17" s="21">
        <v>0</v>
      </c>
      <c r="G17" s="34">
        <v>-453.77</v>
      </c>
      <c r="H17" s="21">
        <f t="shared" si="1"/>
        <v>-453.77</v>
      </c>
      <c r="I17" s="22">
        <v>4</v>
      </c>
      <c r="J17" s="20"/>
      <c r="K17" s="21">
        <f t="shared" si="2"/>
        <v>0</v>
      </c>
      <c r="L17" s="15">
        <f t="shared" si="0"/>
        <v>-453.77</v>
      </c>
      <c r="M17" s="15">
        <f t="shared" si="3"/>
        <v>-471.92079999999999</v>
      </c>
    </row>
    <row r="18" spans="1:24" x14ac:dyDescent="0.25">
      <c r="A18">
        <v>3710</v>
      </c>
      <c r="B18" t="s">
        <v>49</v>
      </c>
      <c r="C18" s="21">
        <v>-700</v>
      </c>
      <c r="D18" s="21">
        <v>-200</v>
      </c>
      <c r="E18" s="21">
        <v>0</v>
      </c>
      <c r="F18" s="21">
        <v>-630</v>
      </c>
      <c r="G18" s="34">
        <v>-265</v>
      </c>
      <c r="H18" s="21">
        <f t="shared" si="1"/>
        <v>365</v>
      </c>
      <c r="I18" s="22">
        <f t="shared" si="4"/>
        <v>0.42063492063492064</v>
      </c>
      <c r="J18" s="20"/>
      <c r="K18" s="21">
        <v>-400</v>
      </c>
      <c r="L18" s="15">
        <f t="shared" si="0"/>
        <v>135</v>
      </c>
      <c r="M18" s="15">
        <f t="shared" si="3"/>
        <v>-275.60000000000002</v>
      </c>
      <c r="X18">
        <v>885.9</v>
      </c>
    </row>
    <row r="19" spans="1:24" x14ac:dyDescent="0.25">
      <c r="A19">
        <v>5300</v>
      </c>
      <c r="B19" t="s">
        <v>50</v>
      </c>
      <c r="C19" s="21">
        <v>-915.2</v>
      </c>
      <c r="D19" s="21">
        <v>-789.5</v>
      </c>
      <c r="E19" s="21">
        <v>-1214.7</v>
      </c>
      <c r="F19" s="21">
        <f>-269.48-1385.01</f>
        <v>-1654.49</v>
      </c>
      <c r="G19" s="34">
        <v>-1625.47</v>
      </c>
      <c r="H19" s="21">
        <f t="shared" si="1"/>
        <v>29.019999999999982</v>
      </c>
      <c r="I19" s="22">
        <f t="shared" si="4"/>
        <v>0.98245985167634742</v>
      </c>
      <c r="J19" s="20"/>
      <c r="K19" s="21">
        <f t="shared" si="2"/>
        <v>-1737.2145</v>
      </c>
      <c r="L19" s="15">
        <f t="shared" si="0"/>
        <v>111.74450000000002</v>
      </c>
      <c r="M19" s="15">
        <f t="shared" si="3"/>
        <v>-1690.4888000000001</v>
      </c>
    </row>
    <row r="20" spans="1:24" x14ac:dyDescent="0.25">
      <c r="A20">
        <v>5500</v>
      </c>
      <c r="B20" t="s">
        <v>51</v>
      </c>
      <c r="C20" s="21">
        <v>-6264.29</v>
      </c>
      <c r="D20" s="21">
        <v>-6689.03</v>
      </c>
      <c r="E20" s="21">
        <v>-6845.44</v>
      </c>
      <c r="F20" s="21">
        <f>-3831.59-3012.93-17.42</f>
        <v>-6861.9400000000005</v>
      </c>
      <c r="G20" s="34">
        <f>-4805.32-2488.81</f>
        <v>-7294.1299999999992</v>
      </c>
      <c r="H20" s="21">
        <f t="shared" si="1"/>
        <v>-432.18999999999869</v>
      </c>
      <c r="I20" s="22">
        <f t="shared" si="4"/>
        <v>1.0629836460243021</v>
      </c>
      <c r="J20" s="20"/>
      <c r="K20" s="21">
        <f t="shared" si="2"/>
        <v>-7205.0370000000012</v>
      </c>
      <c r="L20" s="15">
        <f t="shared" si="0"/>
        <v>-89.092999999998028</v>
      </c>
      <c r="M20" s="15">
        <f t="shared" si="3"/>
        <v>-7585.895199999999</v>
      </c>
    </row>
    <row r="21" spans="1:24" x14ac:dyDescent="0.25">
      <c r="A21">
        <v>5700</v>
      </c>
      <c r="B21" t="s">
        <v>52</v>
      </c>
      <c r="C21" s="21">
        <v>-209.75</v>
      </c>
      <c r="D21" s="21">
        <v>-329.96</v>
      </c>
      <c r="E21" s="21">
        <f>-113.4</f>
        <v>-113.4</v>
      </c>
      <c r="F21" s="21">
        <f>-61.88-149.24</f>
        <v>-211.12</v>
      </c>
      <c r="G21" s="34">
        <v>-103.95</v>
      </c>
      <c r="H21" s="21">
        <f t="shared" si="1"/>
        <v>107.17</v>
      </c>
      <c r="I21" s="22">
        <f t="shared" si="4"/>
        <v>0.49237400530503977</v>
      </c>
      <c r="J21" s="20"/>
      <c r="K21" s="21">
        <f t="shared" si="2"/>
        <v>-221.67600000000002</v>
      </c>
      <c r="L21" s="15">
        <f t="shared" si="0"/>
        <v>117.72600000000001</v>
      </c>
      <c r="M21" s="15">
        <f t="shared" si="3"/>
        <v>-108.108</v>
      </c>
    </row>
    <row r="22" spans="1:24" x14ac:dyDescent="0.25">
      <c r="A22">
        <v>5720</v>
      </c>
      <c r="B22" t="s">
        <v>53</v>
      </c>
      <c r="C22" s="21">
        <v>-120.29</v>
      </c>
      <c r="D22" s="21">
        <v>-205.1</v>
      </c>
      <c r="E22" s="21">
        <v>-26.39</v>
      </c>
      <c r="F22" s="21">
        <v>0</v>
      </c>
      <c r="G22" s="34">
        <v>0</v>
      </c>
      <c r="H22" s="21">
        <f t="shared" si="1"/>
        <v>0</v>
      </c>
      <c r="I22" s="22">
        <v>0</v>
      </c>
      <c r="J22" s="20"/>
      <c r="K22" s="21">
        <f t="shared" si="2"/>
        <v>0</v>
      </c>
      <c r="L22" s="15">
        <f t="shared" si="0"/>
        <v>0</v>
      </c>
      <c r="M22" s="15">
        <f t="shared" si="3"/>
        <v>0</v>
      </c>
    </row>
    <row r="23" spans="1:24" x14ac:dyDescent="0.25">
      <c r="A23">
        <v>5725</v>
      </c>
      <c r="B23" t="s">
        <v>54</v>
      </c>
      <c r="C23" s="21">
        <v>-162</v>
      </c>
      <c r="D23" s="21">
        <v>0</v>
      </c>
      <c r="E23" s="21">
        <v>-27</v>
      </c>
      <c r="F23" s="21">
        <v>-33</v>
      </c>
      <c r="G23" s="34">
        <v>-33</v>
      </c>
      <c r="H23" s="21">
        <f t="shared" si="1"/>
        <v>0</v>
      </c>
      <c r="I23" s="22">
        <f t="shared" si="4"/>
        <v>1</v>
      </c>
      <c r="J23" s="20"/>
      <c r="K23" s="21">
        <f t="shared" si="2"/>
        <v>-34.65</v>
      </c>
      <c r="L23" s="15">
        <f t="shared" si="0"/>
        <v>1.6499999999999986</v>
      </c>
      <c r="M23" s="15">
        <f t="shared" si="3"/>
        <v>-34.32</v>
      </c>
    </row>
    <row r="24" spans="1:24" x14ac:dyDescent="0.25">
      <c r="A24">
        <v>5900</v>
      </c>
      <c r="B24" t="s">
        <v>55</v>
      </c>
      <c r="C24" s="21">
        <v>-2233.4899999999998</v>
      </c>
      <c r="D24" s="21">
        <v>-2067.92</v>
      </c>
      <c r="E24" s="21">
        <v>-2728.95</v>
      </c>
      <c r="F24" s="21">
        <v>-2634.2</v>
      </c>
      <c r="G24" s="34">
        <f>-2700</f>
        <v>-2700</v>
      </c>
      <c r="H24" s="21">
        <f t="shared" si="1"/>
        <v>-65.800000000000182</v>
      </c>
      <c r="I24" s="22">
        <f t="shared" si="4"/>
        <v>1.0249791207956875</v>
      </c>
      <c r="J24" s="20"/>
      <c r="K24" s="21">
        <f t="shared" si="2"/>
        <v>-2765.91</v>
      </c>
      <c r="L24" s="15">
        <f>G24-K24</f>
        <v>65.909999999999854</v>
      </c>
      <c r="M24" s="15">
        <f t="shared" si="3"/>
        <v>-2808</v>
      </c>
    </row>
    <row r="25" spans="1:24" ht="15.75" thickBot="1" x14ac:dyDescent="0.3">
      <c r="C25" s="23">
        <f>SUM(C7:C24)</f>
        <v>-28596.130000000005</v>
      </c>
      <c r="D25" s="23">
        <f>SUM(D7:D24)</f>
        <v>-29799.049999999996</v>
      </c>
      <c r="E25" s="23">
        <f>SUM(E7:E24)</f>
        <v>-23384.149989000001</v>
      </c>
      <c r="F25" s="23">
        <f>SUM(F7:F24)</f>
        <v>-33631.96</v>
      </c>
      <c r="G25" s="35">
        <f>SUM(G7:G24)</f>
        <v>-26650.01</v>
      </c>
      <c r="H25" s="23">
        <f>SUM(H7:H24)</f>
        <v>6981.9500000000016</v>
      </c>
      <c r="I25" s="28">
        <f t="shared" ref="I16:I25" si="5">F25/E25</f>
        <v>1.4382374392834723</v>
      </c>
      <c r="J25" s="24"/>
      <c r="K25" s="23">
        <f>SUM(K7:K24)</f>
        <v>-30672.8675</v>
      </c>
      <c r="L25" s="37">
        <f>SUM(L7:L24)</f>
        <v>4022.8575000000037</v>
      </c>
      <c r="M25" s="23">
        <f>SUM(M7:M24)</f>
        <v>-27716.010399999999</v>
      </c>
    </row>
    <row r="26" spans="1:24" ht="15.75" thickTop="1" x14ac:dyDescent="0.25">
      <c r="G26" s="32"/>
    </row>
    <row r="27" spans="1:24" x14ac:dyDescent="0.25">
      <c r="B27" t="s">
        <v>56</v>
      </c>
      <c r="C27" s="21">
        <v>-28596.130000000005</v>
      </c>
      <c r="D27" s="21">
        <v>-29799.05</v>
      </c>
      <c r="E27" s="21">
        <v>-23384.15</v>
      </c>
      <c r="F27" s="21">
        <v>-33631.96</v>
      </c>
      <c r="G27" s="34">
        <v>-26650.01</v>
      </c>
    </row>
    <row r="28" spans="1:24" x14ac:dyDescent="0.25">
      <c r="B28" t="s">
        <v>57</v>
      </c>
      <c r="C28" s="15">
        <f t="shared" ref="C28:D28" si="6">C25-C27</f>
        <v>0</v>
      </c>
      <c r="D28" s="15">
        <f t="shared" si="6"/>
        <v>0</v>
      </c>
      <c r="E28" s="15">
        <f>E25-E27</f>
        <v>1.1000000085914508E-5</v>
      </c>
      <c r="F28" s="15">
        <f>F25-F27</f>
        <v>0</v>
      </c>
      <c r="G28" s="36">
        <f>G25-G27</f>
        <v>0</v>
      </c>
    </row>
    <row r="29" spans="1:24" x14ac:dyDescent="0.25">
      <c r="G29" s="32"/>
    </row>
  </sheetData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D784B210F394580A551BC759F24F1" ma:contentTypeVersion="4" ma:contentTypeDescription="Create a new document." ma:contentTypeScope="" ma:versionID="58b13ec04c0cf8cc5d3afff707bf1a3f">
  <xsd:schema xmlns:xsd="http://www.w3.org/2001/XMLSchema" xmlns:xs="http://www.w3.org/2001/XMLSchema" xmlns:p="http://schemas.microsoft.com/office/2006/metadata/properties" xmlns:ns2="08383c0a-6ddc-4f58-a377-535fdd1912b7" targetNamespace="http://schemas.microsoft.com/office/2006/metadata/properties" ma:root="true" ma:fieldsID="c35f49c5e44f2965170dbc4c356c298f" ns2:_="">
    <xsd:import namespace="08383c0a-6ddc-4f58-a377-535fdd1912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83c0a-6ddc-4f58-a377-535fdd191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9464A-290D-4DD1-A891-EC5F535E1D56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08383c0a-6ddc-4f58-a377-535fdd1912b7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2F30C9-0C27-4152-8225-2214D5A01C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8D118-F67A-4524-8A7B-EA3600AF9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Yearly</vt:lpstr>
      <vt:lpstr>YOY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Winnett</dc:creator>
  <cp:keywords/>
  <dc:description/>
  <cp:lastModifiedBy>Breitenstein, Mark</cp:lastModifiedBy>
  <cp:revision/>
  <dcterms:created xsi:type="dcterms:W3CDTF">2021-08-07T20:20:31Z</dcterms:created>
  <dcterms:modified xsi:type="dcterms:W3CDTF">2026-02-11T05:07:52Z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0x010100DCED784B210F394580A551BC759F24F1</vt:lpwstr>
  </property>
  <property fmtid="{D5CDD505-2E9C-101B-9397-08002B2CF9AE}" pid="3" name="MSIP_Label_68104b14-b53d-46de-9ae8-975cc0e84815_Enabled">
    <vt:lpwstr>true</vt:lpwstr>
  </property>
  <property fmtid="{D5CDD505-2E9C-101B-9397-08002B2CF9AE}" pid="4" name="MSIP_Label_68104b14-b53d-46de-9ae8-975cc0e84815_SetDate">
    <vt:lpwstr>2023-10-04T14:09:01Z</vt:lpwstr>
  </property>
  <property fmtid="{D5CDD505-2E9C-101B-9397-08002B2CF9AE}" pid="5" name="MSIP_Label_68104b14-b53d-46de-9ae8-975cc0e84815_Method">
    <vt:lpwstr>Standard</vt:lpwstr>
  </property>
  <property fmtid="{D5CDD505-2E9C-101B-9397-08002B2CF9AE}" pid="6" name="MSIP_Label_68104b14-b53d-46de-9ae8-975cc0e84815_Name">
    <vt:lpwstr>ABI_MIP_InternalUseOnly</vt:lpwstr>
  </property>
  <property fmtid="{D5CDD505-2E9C-101B-9397-08002B2CF9AE}" pid="7" name="MSIP_Label_68104b14-b53d-46de-9ae8-975cc0e84815_SiteId">
    <vt:lpwstr>cef04b19-7776-4a94-b89b-375c77a8f936</vt:lpwstr>
  </property>
  <property fmtid="{D5CDD505-2E9C-101B-9397-08002B2CF9AE}" pid="8" name="MSIP_Label_68104b14-b53d-46de-9ae8-975cc0e84815_ActionId">
    <vt:lpwstr>86e42c88-7131-4113-b9c4-06aa30b1ec7a</vt:lpwstr>
  </property>
  <property fmtid="{D5CDD505-2E9C-101B-9397-08002B2CF9AE}" pid="9" name="MSIP_Label_68104b14-b53d-46de-9ae8-975cc0e84815_ContentBits">
    <vt:lpwstr>0</vt:lpwstr>
  </property>
</Properties>
</file>